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参考报价计算方法" sheetId="1" r:id="rId1"/>
    <sheet name="单价基础资料" sheetId="2" r:id="rId2"/>
    <sheet name="快递参考价" sheetId="3" r:id="rId3"/>
    <sheet name="下订单" sheetId="4" r:id="rId4"/>
  </sheets>
  <definedNames/>
  <calcPr fullCalcOnLoad="1"/>
</workbook>
</file>

<file path=xl/sharedStrings.xml><?xml version="1.0" encoding="utf-8"?>
<sst xmlns="http://schemas.openxmlformats.org/spreadsheetml/2006/main" count="48" uniqueCount="36">
  <si>
    <t>材料型号</t>
  </si>
  <si>
    <t>长(mm)</t>
  </si>
  <si>
    <t>FR4_1.6mm</t>
  </si>
  <si>
    <t>铣边单价 (次/5套)</t>
  </si>
  <si>
    <t>完美数</t>
  </si>
  <si>
    <t>序号</t>
  </si>
  <si>
    <t>参考报价</t>
  </si>
  <si>
    <t>订单时间</t>
  </si>
  <si>
    <r>
      <t>单价
(元/cm</t>
    </r>
    <r>
      <rPr>
        <vertAlign val="superscript"/>
        <sz val="10"/>
        <color indexed="8"/>
        <rFont val="宋体"/>
        <family val="0"/>
      </rPr>
      <t>2</t>
    </r>
    <r>
      <rPr>
        <sz val="11"/>
        <color theme="1"/>
        <rFont val="Calibri"/>
        <family val="0"/>
      </rPr>
      <t>)</t>
    </r>
  </si>
  <si>
    <t>宽(mm)</t>
  </si>
  <si>
    <t>估计快递天数</t>
  </si>
  <si>
    <t>最终参考价格</t>
  </si>
  <si>
    <t>理论交货(星期天除外)</t>
  </si>
  <si>
    <t>中国电子开发网(www.ourdev.cn)</t>
  </si>
  <si>
    <t>去论坛</t>
  </si>
  <si>
    <t>PCB打样报价参考计算</t>
  </si>
  <si>
    <t>PCB打样报价参考单价基础资料</t>
  </si>
  <si>
    <t>材料型号</t>
  </si>
  <si>
    <t>FR4_2.0mm</t>
  </si>
  <si>
    <t>FR4_1.6mm</t>
  </si>
  <si>
    <t>FR4_1.0mm</t>
  </si>
  <si>
    <t>FR4_0.8mm</t>
  </si>
  <si>
    <t>序号</t>
  </si>
  <si>
    <t>交货周期</t>
  </si>
  <si>
    <t>加工周期</t>
  </si>
  <si>
    <t>最小合格数</t>
  </si>
  <si>
    <t>套数
(次/5张)</t>
  </si>
  <si>
    <t>铣边单价 (次/5张)</t>
  </si>
  <si>
    <t>快递费用</t>
  </si>
  <si>
    <r>
      <t>面积(</t>
    </r>
    <r>
      <rPr>
        <sz val="11"/>
        <color indexed="8"/>
        <rFont val="宋体"/>
        <family val="0"/>
      </rPr>
      <t>cm²)</t>
    </r>
  </si>
  <si>
    <t>四舍五入后面积cm²</t>
  </si>
  <si>
    <t>总面积:</t>
  </si>
  <si>
    <t>再去看看规范!</t>
  </si>
  <si>
    <t>总价:</t>
  </si>
  <si>
    <r>
      <t>说明:以四舍五入的面积来拍下邮购部的商品,这里给出的是总价,</t>
    </r>
    <r>
      <rPr>
        <sz val="12"/>
        <color indexed="10"/>
        <rFont val="宋体"/>
        <family val="0"/>
      </rPr>
      <t>拍商品时面积和铣边费要分开来拍</t>
    </r>
    <r>
      <rPr>
        <sz val="12"/>
        <color indexed="8"/>
        <rFont val="宋体"/>
        <family val="0"/>
      </rPr>
      <t>;板子长宽为外框</t>
    </r>
    <r>
      <rPr>
        <sz val="12"/>
        <color indexed="10"/>
        <rFont val="宋体"/>
        <family val="0"/>
      </rPr>
      <t>增大0.75mm后的尺寸</t>
    </r>
    <r>
      <rPr>
        <sz val="12"/>
        <color indexed="8"/>
        <rFont val="宋体"/>
        <family val="0"/>
      </rPr>
      <t>;此处并未算上邮费,实际金额会多出邮费.</t>
    </r>
  </si>
  <si>
    <r>
      <t>再唠叨一下:钻孔要</t>
    </r>
    <r>
      <rPr>
        <b/>
        <sz val="12"/>
        <color indexed="10"/>
        <rFont val="宋体"/>
        <family val="0"/>
      </rPr>
      <t>补偿</t>
    </r>
    <r>
      <rPr>
        <b/>
        <sz val="12"/>
        <color indexed="8"/>
        <rFont val="宋体"/>
        <family val="0"/>
      </rPr>
      <t>;外框要</t>
    </r>
    <r>
      <rPr>
        <b/>
        <sz val="12"/>
        <color indexed="10"/>
        <rFont val="宋体"/>
        <family val="0"/>
      </rPr>
      <t>增大</t>
    </r>
    <r>
      <rPr>
        <b/>
        <sz val="12"/>
        <color indexed="8"/>
        <rFont val="宋体"/>
        <family val="0"/>
      </rPr>
      <t>;钻孔值要改成</t>
    </r>
    <r>
      <rPr>
        <b/>
        <sz val="12"/>
        <color indexed="10"/>
        <rFont val="宋体"/>
        <family val="0"/>
      </rPr>
      <t>标准值</t>
    </r>
    <r>
      <rPr>
        <b/>
        <sz val="12"/>
        <color indexed="8"/>
        <rFont val="宋体"/>
        <family val="0"/>
      </rPr>
      <t>;一定自己</t>
    </r>
    <r>
      <rPr>
        <b/>
        <sz val="12"/>
        <color indexed="10"/>
        <rFont val="宋体"/>
        <family val="0"/>
      </rPr>
      <t>检查好gerber文件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</si>
</sst>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vertAlign val="superscript"/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宋体"/>
      <family val="0"/>
    </font>
    <font>
      <b/>
      <sz val="14"/>
      <color indexed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9"/>
      <color rgb="FF000000"/>
      <name val="Calibri"/>
      <family val="0"/>
    </font>
    <font>
      <b/>
      <sz val="11"/>
      <color theme="9" tint="-0.24997000396251678"/>
      <name val="Calibri"/>
      <family val="0"/>
    </font>
    <font>
      <b/>
      <sz val="14"/>
      <color theme="1"/>
      <name val="Calibri"/>
      <family val="0"/>
    </font>
    <font>
      <b/>
      <sz val="14"/>
      <color theme="1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36" fillId="0" borderId="0" xfId="40" applyAlignment="1">
      <alignment/>
    </xf>
    <xf numFmtId="0" fontId="36" fillId="0" borderId="0" xfId="40" applyAlignment="1">
      <alignment horizontal="center"/>
    </xf>
    <xf numFmtId="0" fontId="48" fillId="0" borderId="0" xfId="0" applyFont="1" applyAlignment="1">
      <alignment horizontal="center" wrapText="1"/>
    </xf>
    <xf numFmtId="0" fontId="49" fillId="6" borderId="0" xfId="0" applyFont="1" applyFill="1" applyAlignment="1">
      <alignment horizontal="center" wrapText="1"/>
    </xf>
    <xf numFmtId="0" fontId="0" fillId="6" borderId="0" xfId="0" applyFill="1" applyAlignment="1">
      <alignment horizontal="center"/>
    </xf>
    <xf numFmtId="14" fontId="0" fillId="6" borderId="0" xfId="0" applyNumberFormat="1" applyFill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6" fillId="0" borderId="0" xfId="4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center" wrapText="1"/>
    </xf>
    <xf numFmtId="0" fontId="0" fillId="33" borderId="0" xfId="0" applyFill="1" applyAlignment="1">
      <alignment horizontal="center" wrapText="1"/>
    </xf>
    <xf numFmtId="0" fontId="51" fillId="0" borderId="0" xfId="40" applyFont="1" applyAlignment="1">
      <alignment horizontal="center"/>
    </xf>
    <xf numFmtId="0" fontId="50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ourdev.cn/" TargetMode="External" /><Relationship Id="rId3" Type="http://schemas.openxmlformats.org/officeDocument/2006/relationships/hyperlink" Target="http://www.ourdev.cn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18</xdr:col>
      <xdr:colOff>228600</xdr:colOff>
      <xdr:row>9</xdr:row>
      <xdr:rowOff>133350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02774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urdev.cn/" TargetMode="External" /><Relationship Id="rId2" Type="http://schemas.openxmlformats.org/officeDocument/2006/relationships/hyperlink" Target="http://www.ourdev.cn/bbs/bbs_list.jsp?bbs_id=1009" TargetMode="External" /><Relationship Id="rId3" Type="http://schemas.openxmlformats.org/officeDocument/2006/relationships/hyperlink" Target="http://www.ourdev.cn/bbs/bbs_content.jsp?bbs_sn=5197059&amp;bbs_page_no=1&amp;bbs_id=1009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urdev.cn/" TargetMode="External" /><Relationship Id="rId2" Type="http://schemas.openxmlformats.org/officeDocument/2006/relationships/hyperlink" Target="http://www.ourdev.cn/bbs/bbs_list.jsp?bbs_id=100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showGridLines="0" tabSelected="1" zoomScalePageLayoutView="0" workbookViewId="0" topLeftCell="A10">
      <selection activeCell="D18" sqref="D18"/>
    </sheetView>
  </sheetViews>
  <sheetFormatPr defaultColWidth="9.140625" defaultRowHeight="15"/>
  <cols>
    <col min="1" max="1" width="5.140625" style="1" customWidth="1"/>
    <col min="2" max="3" width="9.00390625" style="1" customWidth="1"/>
    <col min="4" max="5" width="10.28125" style="1" customWidth="1"/>
    <col min="6" max="6" width="14.00390625" style="1" customWidth="1"/>
    <col min="7" max="7" width="9.8515625" style="1" customWidth="1"/>
    <col min="8" max="8" width="9.421875" style="1" customWidth="1"/>
    <col min="9" max="9" width="9.8515625" style="4" customWidth="1"/>
    <col min="10" max="10" width="9.140625" style="4" customWidth="1"/>
    <col min="11" max="12" width="9.57421875" style="4" customWidth="1"/>
    <col min="13" max="13" width="11.421875" style="1" hidden="1" customWidth="1"/>
    <col min="14" max="14" width="0" style="1" hidden="1" customWidth="1"/>
    <col min="15" max="15" width="13.00390625" style="1" customWidth="1"/>
    <col min="16" max="16" width="9.00390625" style="1" customWidth="1"/>
    <col min="17" max="17" width="5.00390625" style="1" customWidth="1"/>
    <col min="18" max="16384" width="9.00390625" style="1" customWidth="1"/>
  </cols>
  <sheetData>
    <row r="1" spans="2:10" ht="13.5">
      <c r="B1" s="1" t="str">
        <f>'单价基础资料'!B4</f>
        <v>FR4_0.8mm</v>
      </c>
      <c r="C1" s="2"/>
      <c r="D1" s="2"/>
      <c r="E1" s="2"/>
      <c r="F1" s="2"/>
      <c r="G1" s="2"/>
      <c r="H1" s="2"/>
      <c r="I1" s="8"/>
      <c r="J1" s="8"/>
    </row>
    <row r="2" spans="2:10" ht="13.5">
      <c r="B2" s="1" t="str">
        <f>'单价基础资料'!B5</f>
        <v>FR4_1.0mm</v>
      </c>
      <c r="C2" s="2"/>
      <c r="D2" s="2"/>
      <c r="E2" s="2"/>
      <c r="F2" s="2"/>
      <c r="G2" s="2"/>
      <c r="H2" s="2"/>
      <c r="I2" s="8"/>
      <c r="J2" s="8"/>
    </row>
    <row r="3" spans="2:10" ht="13.5">
      <c r="B3" s="1" t="str">
        <f>'单价基础资料'!B6</f>
        <v>FR4_1.6mm</v>
      </c>
      <c r="C3" s="2"/>
      <c r="D3" s="2"/>
      <c r="E3" s="2"/>
      <c r="F3" s="2"/>
      <c r="G3" s="2"/>
      <c r="H3" s="2"/>
      <c r="I3" s="8"/>
      <c r="J3" s="8"/>
    </row>
    <row r="4" spans="2:10" ht="13.5">
      <c r="B4" s="1" t="str">
        <f>'单价基础资料'!B7</f>
        <v>FR4_2.0mm</v>
      </c>
      <c r="C4" s="2"/>
      <c r="D4" s="2"/>
      <c r="E4" s="2"/>
      <c r="F4" s="2"/>
      <c r="G4" s="2"/>
      <c r="H4" s="2"/>
      <c r="I4" s="8"/>
      <c r="J4" s="8"/>
    </row>
    <row r="5" spans="2:10" ht="13.5">
      <c r="B5" s="1">
        <f>'单价基础资料'!B8</f>
        <v>0</v>
      </c>
      <c r="C5" s="2"/>
      <c r="D5" s="2"/>
      <c r="E5" s="2"/>
      <c r="F5" s="2"/>
      <c r="G5" s="2"/>
      <c r="H5" s="2"/>
      <c r="I5" s="8"/>
      <c r="J5" s="8"/>
    </row>
    <row r="6" spans="2:10" ht="13.5">
      <c r="B6" s="1">
        <f>'单价基础资料'!B9</f>
        <v>0</v>
      </c>
      <c r="C6" s="2"/>
      <c r="D6" s="2"/>
      <c r="E6" s="2"/>
      <c r="F6" s="2"/>
      <c r="G6" s="2"/>
      <c r="H6" s="2"/>
      <c r="I6" s="8"/>
      <c r="J6" s="8"/>
    </row>
    <row r="7" spans="2:10" ht="13.5">
      <c r="B7" s="1">
        <f>'单价基础资料'!B10</f>
        <v>0</v>
      </c>
      <c r="C7" s="2"/>
      <c r="D7" s="2"/>
      <c r="E7" s="2"/>
      <c r="F7" s="2"/>
      <c r="G7" s="2"/>
      <c r="H7" s="2"/>
      <c r="I7" s="8"/>
      <c r="J7" s="8"/>
    </row>
    <row r="8" spans="2:10" ht="13.5">
      <c r="B8" s="1">
        <f>'单价基础资料'!B11</f>
        <v>0</v>
      </c>
      <c r="C8" s="2"/>
      <c r="D8" s="2"/>
      <c r="E8" s="2"/>
      <c r="F8" s="2"/>
      <c r="G8" s="2"/>
      <c r="H8" s="2"/>
      <c r="I8" s="8"/>
      <c r="J8" s="8"/>
    </row>
    <row r="9" spans="3:10" ht="13.5">
      <c r="C9" s="2"/>
      <c r="D9" s="2"/>
      <c r="E9" s="2"/>
      <c r="F9" s="2"/>
      <c r="G9" s="2"/>
      <c r="H9" s="2"/>
      <c r="I9" s="8"/>
      <c r="J9" s="8"/>
    </row>
    <row r="10" spans="3:10" ht="13.5">
      <c r="C10" s="2"/>
      <c r="D10" s="2"/>
      <c r="E10" s="2"/>
      <c r="F10" s="2"/>
      <c r="G10" s="2"/>
      <c r="H10" s="2"/>
      <c r="I10" s="8"/>
      <c r="J10" s="8"/>
    </row>
    <row r="11" spans="1:18" ht="18.75">
      <c r="A11" s="21" t="s">
        <v>13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8.75">
      <c r="A12" s="22" t="s">
        <v>15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13"/>
      <c r="R12" s="6" t="s">
        <v>14</v>
      </c>
    </row>
    <row r="13" ht="7.5" customHeight="1"/>
    <row r="14" spans="1:18" s="5" customFormat="1" ht="28.5" customHeight="1">
      <c r="A14" s="12" t="s">
        <v>5</v>
      </c>
      <c r="B14" s="12" t="s">
        <v>1</v>
      </c>
      <c r="C14" s="12" t="s">
        <v>9</v>
      </c>
      <c r="D14" s="14" t="s">
        <v>29</v>
      </c>
      <c r="E14" s="14" t="s">
        <v>30</v>
      </c>
      <c r="F14" s="12" t="s">
        <v>17</v>
      </c>
      <c r="G14" s="12" t="s">
        <v>7</v>
      </c>
      <c r="H14" s="12" t="s">
        <v>26</v>
      </c>
      <c r="I14" s="12" t="s">
        <v>8</v>
      </c>
      <c r="J14" s="12" t="s">
        <v>27</v>
      </c>
      <c r="K14" s="12" t="s">
        <v>6</v>
      </c>
      <c r="L14" s="12" t="s">
        <v>24</v>
      </c>
      <c r="M14" s="12" t="s">
        <v>25</v>
      </c>
      <c r="N14" s="12" t="s">
        <v>4</v>
      </c>
      <c r="O14" s="12" t="s">
        <v>12</v>
      </c>
      <c r="P14" s="12" t="s">
        <v>10</v>
      </c>
      <c r="Q14" s="12" t="s">
        <v>28</v>
      </c>
      <c r="R14" s="12" t="s">
        <v>11</v>
      </c>
    </row>
    <row r="15" spans="1:18" ht="30" customHeight="1">
      <c r="A15" s="10">
        <f>IF(OR(ISBLANK(B15),ISBLANK(C15),ISBLANK(F15),ISBLANK(#REF!),ISBLANK(G15)),"",ROW()-14)</f>
        <v>1</v>
      </c>
      <c r="B15" s="1">
        <v>10</v>
      </c>
      <c r="C15" s="1">
        <v>10</v>
      </c>
      <c r="D15" s="1">
        <f>C15*B15*H15/100</f>
        <v>1</v>
      </c>
      <c r="E15" s="18">
        <f>ROUND(D15,0)</f>
        <v>1</v>
      </c>
      <c r="F15" s="1" t="s">
        <v>2</v>
      </c>
      <c r="G15" s="3">
        <v>40791</v>
      </c>
      <c r="H15" s="1">
        <v>1</v>
      </c>
      <c r="I15" s="9">
        <f>IF(ISBLANK(F15),"",IF(ISERROR(VLOOKUP(F15,'单价基础资料'!$B$4:$D$11,2,0)),"型号输入有错误",VLOOKUP(F15,'单价基础资料'!$B$4:$D$11,2,0)))</f>
        <v>0.64</v>
      </c>
      <c r="J15" s="9">
        <f>IF(ISBLANK(F15),"",IF(ISERROR(VLOOKUP(F15,'单价基础资料'!$B$4:$D$11,3,0)),"型号输入有错误",VLOOKUP(F15,'单价基础资料'!$B$4:$D$11,3,0)))</f>
        <v>8</v>
      </c>
      <c r="K15" s="9">
        <f>IF(A15="","",IF(OR(B15&lt;10,C15&lt;10),"您的板子太小了",(B15*C15)/100*I15*H15+J15*H15))</f>
        <v>8.64</v>
      </c>
      <c r="L15" s="9">
        <f>IF(ISBLANK(F15),"",IF(ISERROR(VLOOKUP(F15,'单价基础资料'!$B$4:$E$11,4,0)),"型号输入有错误",VLOOKUP(F15,'单价基础资料'!$B$4:$E$11,4,0)))</f>
        <v>5</v>
      </c>
      <c r="M15" s="10">
        <f>IF(OR(ISBLANK(H15),I15="",I15="型号输入有错误"),"",H15*3)</f>
        <v>3</v>
      </c>
      <c r="N15" s="10">
        <f>IF(OR(ISBLANK(H15),I15="",I15="型号输入有错误"),"",H15*5)</f>
        <v>5</v>
      </c>
      <c r="O15" s="11">
        <f>IF(OR(ISBLANK(H15),I15="",I15="型号输入有错误"),"",IF(ISBLANK(G15),"",IF(NETWORKDAYS(G15-1,G15+L15-1,0)&gt;L15-1,G15+L15,G15+L15+1)))</f>
        <v>40796</v>
      </c>
      <c r="P15" s="10"/>
      <c r="Q15" s="10"/>
      <c r="R15" s="10"/>
    </row>
    <row r="16" spans="1:18" ht="30" customHeight="1">
      <c r="A16" s="10">
        <f>IF(OR(ISBLANK(B16),ISBLANK(C16),ISBLANK(F16),ISBLANK(#REF!),ISBLANK(G16)),"",ROW()-14)</f>
        <v>2</v>
      </c>
      <c r="B16" s="1">
        <v>0</v>
      </c>
      <c r="C16" s="1">
        <v>0</v>
      </c>
      <c r="D16" s="1">
        <f aca="true" t="shared" si="0" ref="D16:D24">C16*B16*H16/100</f>
        <v>0</v>
      </c>
      <c r="E16" s="18">
        <f aca="true" t="shared" si="1" ref="E16:E24">ROUND(D16,0)</f>
        <v>0</v>
      </c>
      <c r="F16" s="1" t="s">
        <v>2</v>
      </c>
      <c r="G16" s="3">
        <v>40788</v>
      </c>
      <c r="H16" s="1">
        <v>1</v>
      </c>
      <c r="I16" s="9">
        <f>IF(ISBLANK(F16),"",IF(ISERROR(VLOOKUP(F16,'单价基础资料'!$B$4:$D$11,2,0)),"型号输入有错误",VLOOKUP(F16,'单价基础资料'!$B$4:$D$11,2,0)))</f>
        <v>0.64</v>
      </c>
      <c r="J16" s="9">
        <f>IF(ISBLANK(F16),"",IF(ISERROR(VLOOKUP(F16,'单价基础资料'!$B$4:$D$11,3,0)),"型号输入有错误",VLOOKUP(F16,'单价基础资料'!$B$4:$D$11,3,0)))</f>
        <v>8</v>
      </c>
      <c r="K16" s="9" t="str">
        <f>IF(A16="","",IF(OR(B16&lt;10,C16&lt;10),"板太小了",(B16*C16)/100*I16*H16+J16*H16))</f>
        <v>板太小了</v>
      </c>
      <c r="L16" s="9">
        <f>IF(ISBLANK(F16),"",IF(ISERROR(VLOOKUP(F16,'单价基础资料'!$B$4:$E$11,4,0)),"型号输入有错误",VLOOKUP(F16,'单价基础资料'!$B$4:$E$11,4,0)))</f>
        <v>5</v>
      </c>
      <c r="M16" s="10">
        <f aca="true" t="shared" si="2" ref="M16:M24">IF(OR(ISBLANK(H16),I16="",I16="型号输入有错误"),"",H16*3)</f>
        <v>3</v>
      </c>
      <c r="N16" s="10">
        <f aca="true" t="shared" si="3" ref="N16:N24">IF(OR(ISBLANK(H16),I16="",I16="型号输入有错误"),"",H16*5)</f>
        <v>5</v>
      </c>
      <c r="O16" s="11">
        <f aca="true" t="shared" si="4" ref="O16:O24">IF(OR(ISBLANK(H16),I16="",I16="型号输入有错误"),"",IF(ISBLANK(G16),"",IF(NETWORKDAYS(G16-1,G16+L16-1,0)&gt;L16-1,G16+L16,G16+L16+1)))</f>
        <v>40794</v>
      </c>
      <c r="P16" s="10"/>
      <c r="Q16" s="10"/>
      <c r="R16" s="10"/>
    </row>
    <row r="17" spans="1:18" ht="30" customHeight="1">
      <c r="A17" s="10">
        <f>IF(OR(ISBLANK(B17),ISBLANK(C17),ISBLANK(F17),ISBLANK(#REF!),ISBLANK(G17)),"",ROW()-14)</f>
        <v>3</v>
      </c>
      <c r="B17" s="1">
        <v>0</v>
      </c>
      <c r="C17" s="1">
        <v>0</v>
      </c>
      <c r="D17" s="1">
        <f t="shared" si="0"/>
        <v>0</v>
      </c>
      <c r="E17" s="18">
        <f t="shared" si="1"/>
        <v>0</v>
      </c>
      <c r="F17" s="1" t="s">
        <v>2</v>
      </c>
      <c r="G17" s="3">
        <v>40789</v>
      </c>
      <c r="H17" s="1">
        <v>1</v>
      </c>
      <c r="I17" s="9">
        <f>IF(ISBLANK(F17),"",IF(ISERROR(VLOOKUP(F17,'单价基础资料'!$B$4:$D$11,2,0)),"型号输入有错误",VLOOKUP(F17,'单价基础资料'!$B$4:$D$11,2,0)))</f>
        <v>0.64</v>
      </c>
      <c r="J17" s="9">
        <f>IF(ISBLANK(F17),"",IF(ISERROR(VLOOKUP(F17,'单价基础资料'!$B$4:$D$11,3,0)),"型号输入有错误",VLOOKUP(F17,'单价基础资料'!$B$4:$D$11,3,0)))</f>
        <v>8</v>
      </c>
      <c r="K17" s="9" t="str">
        <f aca="true" t="shared" si="5" ref="K16:K24">IF(A17="","",IF(OR(B17&lt;10,C17&lt;10),"板太小了",(B17*C17)/100*I17*H17+J17*H17))</f>
        <v>板太小了</v>
      </c>
      <c r="L17" s="9">
        <f>IF(ISBLANK(F17),"",IF(ISERROR(VLOOKUP(F17,'单价基础资料'!$B$4:$E$11,4,0)),"型号输入有错误",VLOOKUP(F17,'单价基础资料'!$B$4:$E$11,4,0)))</f>
        <v>5</v>
      </c>
      <c r="M17" s="10">
        <f t="shared" si="2"/>
        <v>3</v>
      </c>
      <c r="N17" s="10">
        <f t="shared" si="3"/>
        <v>5</v>
      </c>
      <c r="O17" s="11">
        <f t="shared" si="4"/>
        <v>40795</v>
      </c>
      <c r="P17" s="10"/>
      <c r="Q17" s="10"/>
      <c r="R17" s="10"/>
    </row>
    <row r="18" spans="1:18" ht="30" customHeight="1">
      <c r="A18" s="10">
        <f>IF(OR(ISBLANK(B18),ISBLANK(C18),ISBLANK(F18),ISBLANK(#REF!),ISBLANK(G18)),"",ROW()-14)</f>
        <v>4</v>
      </c>
      <c r="B18" s="1">
        <v>0</v>
      </c>
      <c r="C18" s="1">
        <v>0</v>
      </c>
      <c r="D18" s="1">
        <f t="shared" si="0"/>
        <v>0</v>
      </c>
      <c r="E18" s="18">
        <f t="shared" si="1"/>
        <v>0</v>
      </c>
      <c r="F18" s="1" t="s">
        <v>2</v>
      </c>
      <c r="G18" s="3">
        <v>40790</v>
      </c>
      <c r="H18" s="1">
        <v>1</v>
      </c>
      <c r="I18" s="9">
        <f>IF(ISBLANK(F18),"",IF(ISERROR(VLOOKUP(F18,'单价基础资料'!$B$4:$D$11,2,0)),"型号输入有错误",VLOOKUP(F18,'单价基础资料'!$B$4:$D$11,2,0)))</f>
        <v>0.64</v>
      </c>
      <c r="J18" s="9">
        <f>IF(ISBLANK(F18),"",IF(ISERROR(VLOOKUP(F18,'单价基础资料'!$B$4:$D$11,3,0)),"型号输入有错误",VLOOKUP(F18,'单价基础资料'!$B$4:$D$11,3,0)))</f>
        <v>8</v>
      </c>
      <c r="K18" s="9" t="str">
        <f t="shared" si="5"/>
        <v>板太小了</v>
      </c>
      <c r="L18" s="9">
        <f>IF(ISBLANK(F18),"",IF(ISERROR(VLOOKUP(F18,'单价基础资料'!$B$4:$E$11,4,0)),"型号输入有错误",VLOOKUP(F18,'单价基础资料'!$B$4:$E$11,4,0)))</f>
        <v>5</v>
      </c>
      <c r="M18" s="10">
        <f t="shared" si="2"/>
        <v>3</v>
      </c>
      <c r="N18" s="10">
        <f t="shared" si="3"/>
        <v>5</v>
      </c>
      <c r="O18" s="11">
        <f t="shared" si="4"/>
        <v>40796</v>
      </c>
      <c r="P18" s="10"/>
      <c r="Q18" s="10"/>
      <c r="R18" s="10"/>
    </row>
    <row r="19" spans="1:18" ht="30" customHeight="1">
      <c r="A19" s="10">
        <f>IF(OR(ISBLANK(B19),ISBLANK(C19),ISBLANK(F19),ISBLANK(#REF!),ISBLANK(G19)),"",ROW()-14)</f>
        <v>5</v>
      </c>
      <c r="B19" s="1">
        <v>0</v>
      </c>
      <c r="C19" s="1">
        <v>0</v>
      </c>
      <c r="D19" s="1">
        <f t="shared" si="0"/>
        <v>0</v>
      </c>
      <c r="E19" s="18">
        <f t="shared" si="1"/>
        <v>0</v>
      </c>
      <c r="F19" s="1" t="s">
        <v>2</v>
      </c>
      <c r="G19" s="3">
        <v>40791</v>
      </c>
      <c r="H19" s="1">
        <v>1</v>
      </c>
      <c r="I19" s="9">
        <f>IF(ISBLANK(F19),"",IF(ISERROR(VLOOKUP(F19,'单价基础资料'!$B$4:$D$11,2,0)),"型号输入有错误",VLOOKUP(F19,'单价基础资料'!$B$4:$D$11,2,0)))</f>
        <v>0.64</v>
      </c>
      <c r="J19" s="9">
        <f>IF(ISBLANK(F19),"",IF(ISERROR(VLOOKUP(F19,'单价基础资料'!$B$4:$D$11,3,0)),"型号输入有错误",VLOOKUP(F19,'单价基础资料'!$B$4:$D$11,3,0)))</f>
        <v>8</v>
      </c>
      <c r="K19" s="9" t="str">
        <f t="shared" si="5"/>
        <v>板太小了</v>
      </c>
      <c r="L19" s="9">
        <f>IF(ISBLANK(F19),"",IF(ISERROR(VLOOKUP(F19,'单价基础资料'!$B$4:$E$11,4,0)),"型号输入有错误",VLOOKUP(F19,'单价基础资料'!$B$4:$E$11,4,0)))</f>
        <v>5</v>
      </c>
      <c r="M19" s="10">
        <f t="shared" si="2"/>
        <v>3</v>
      </c>
      <c r="N19" s="10">
        <f t="shared" si="3"/>
        <v>5</v>
      </c>
      <c r="O19" s="11">
        <f t="shared" si="4"/>
        <v>40796</v>
      </c>
      <c r="P19" s="10"/>
      <c r="Q19" s="10"/>
      <c r="R19" s="10"/>
    </row>
    <row r="20" spans="1:18" ht="30" customHeight="1">
      <c r="A20" s="10">
        <f>IF(OR(ISBLANK(B20),ISBLANK(C20),ISBLANK(F20),ISBLANK(#REF!),ISBLANK(G20)),"",ROW()-14)</f>
        <v>6</v>
      </c>
      <c r="B20" s="1">
        <v>0</v>
      </c>
      <c r="C20" s="1">
        <v>0</v>
      </c>
      <c r="D20" s="1">
        <f t="shared" si="0"/>
        <v>0</v>
      </c>
      <c r="E20" s="18">
        <f t="shared" si="1"/>
        <v>0</v>
      </c>
      <c r="F20" s="1" t="s">
        <v>2</v>
      </c>
      <c r="G20" s="3">
        <v>40792</v>
      </c>
      <c r="H20" s="1">
        <v>1</v>
      </c>
      <c r="I20" s="9">
        <f>IF(ISBLANK(F20),"",IF(ISERROR(VLOOKUP(F20,'单价基础资料'!$B$4:$D$11,2,0)),"型号输入有错误",VLOOKUP(F20,'单价基础资料'!$B$4:$D$11,2,0)))</f>
        <v>0.64</v>
      </c>
      <c r="J20" s="9">
        <f>IF(ISBLANK(F20),"",IF(ISERROR(VLOOKUP(F20,'单价基础资料'!$B$4:$D$11,3,0)),"型号输入有错误",VLOOKUP(F20,'单价基础资料'!$B$4:$D$11,3,0)))</f>
        <v>8</v>
      </c>
      <c r="K20" s="9" t="str">
        <f t="shared" si="5"/>
        <v>板太小了</v>
      </c>
      <c r="L20" s="9">
        <f>IF(ISBLANK(F20),"",IF(ISERROR(VLOOKUP(F20,'单价基础资料'!$B$4:$E$11,4,0)),"型号输入有错误",VLOOKUP(F20,'单价基础资料'!$B$4:$E$11,4,0)))</f>
        <v>5</v>
      </c>
      <c r="M20" s="10">
        <f t="shared" si="2"/>
        <v>3</v>
      </c>
      <c r="N20" s="10">
        <f t="shared" si="3"/>
        <v>5</v>
      </c>
      <c r="O20" s="11">
        <f t="shared" si="4"/>
        <v>40797</v>
      </c>
      <c r="P20" s="10"/>
      <c r="Q20" s="10"/>
      <c r="R20" s="10"/>
    </row>
    <row r="21" spans="1:18" ht="30" customHeight="1">
      <c r="A21" s="10">
        <f>IF(OR(ISBLANK(B21),ISBLANK(C21),ISBLANK(F21),ISBLANK(#REF!),ISBLANK(G21)),"",ROW()-14)</f>
        <v>7</v>
      </c>
      <c r="B21" s="1">
        <v>0</v>
      </c>
      <c r="C21" s="1">
        <v>0</v>
      </c>
      <c r="D21" s="1">
        <f t="shared" si="0"/>
        <v>0</v>
      </c>
      <c r="E21" s="18">
        <f t="shared" si="1"/>
        <v>0</v>
      </c>
      <c r="F21" s="1" t="s">
        <v>2</v>
      </c>
      <c r="G21" s="3">
        <v>40793</v>
      </c>
      <c r="H21" s="1">
        <v>1</v>
      </c>
      <c r="I21" s="9">
        <f>IF(ISBLANK(F21),"",IF(ISERROR(VLOOKUP(F21,'单价基础资料'!$B$4:$D$11,2,0)),"型号输入有错误",VLOOKUP(F21,'单价基础资料'!$B$4:$D$11,2,0)))</f>
        <v>0.64</v>
      </c>
      <c r="J21" s="9">
        <f>IF(ISBLANK(F21),"",IF(ISERROR(VLOOKUP(F21,'单价基础资料'!$B$4:$D$11,3,0)),"型号输入有错误",VLOOKUP(F21,'单价基础资料'!$B$4:$D$11,3,0)))</f>
        <v>8</v>
      </c>
      <c r="K21" s="9" t="str">
        <f t="shared" si="5"/>
        <v>板太小了</v>
      </c>
      <c r="L21" s="9">
        <f>IF(ISBLANK(F21),"",IF(ISERROR(VLOOKUP(F21,'单价基础资料'!$B$4:$E$11,4,0)),"型号输入有错误",VLOOKUP(F21,'单价基础资料'!$B$4:$E$11,4,0)))</f>
        <v>5</v>
      </c>
      <c r="M21" s="10">
        <f t="shared" si="2"/>
        <v>3</v>
      </c>
      <c r="N21" s="10">
        <f t="shared" si="3"/>
        <v>5</v>
      </c>
      <c r="O21" s="11">
        <f t="shared" si="4"/>
        <v>40799</v>
      </c>
      <c r="P21" s="10"/>
      <c r="Q21" s="10"/>
      <c r="R21" s="10"/>
    </row>
    <row r="22" spans="1:18" ht="30" customHeight="1">
      <c r="A22" s="10">
        <f>IF(OR(ISBLANK(B22),ISBLANK(C22),ISBLANK(F22),ISBLANK(#REF!),ISBLANK(G22)),"",ROW()-14)</f>
        <v>8</v>
      </c>
      <c r="B22" s="1">
        <v>0</v>
      </c>
      <c r="C22" s="1">
        <v>0</v>
      </c>
      <c r="D22" s="1">
        <f t="shared" si="0"/>
        <v>0</v>
      </c>
      <c r="E22" s="18">
        <f t="shared" si="1"/>
        <v>0</v>
      </c>
      <c r="F22" s="1" t="s">
        <v>2</v>
      </c>
      <c r="G22" s="3">
        <v>40794</v>
      </c>
      <c r="H22" s="1">
        <v>1</v>
      </c>
      <c r="I22" s="9">
        <f>IF(ISBLANK(F22),"",IF(ISERROR(VLOOKUP(F22,'单价基础资料'!$B$4:$D$11,2,0)),"型号输入有错误",VLOOKUP(F22,'单价基础资料'!$B$4:$D$11,2,0)))</f>
        <v>0.64</v>
      </c>
      <c r="J22" s="9">
        <f>IF(ISBLANK(F22),"",IF(ISERROR(VLOOKUP(F22,'单价基础资料'!$B$4:$D$11,3,0)),"型号输入有错误",VLOOKUP(F22,'单价基础资料'!$B$4:$D$11,3,0)))</f>
        <v>8</v>
      </c>
      <c r="K22" s="9" t="str">
        <f t="shared" si="5"/>
        <v>板太小了</v>
      </c>
      <c r="L22" s="9">
        <f>IF(ISBLANK(F22),"",IF(ISERROR(VLOOKUP(F22,'单价基础资料'!$B$4:$E$11,4,0)),"型号输入有错误",VLOOKUP(F22,'单价基础资料'!$B$4:$E$11,4,0)))</f>
        <v>5</v>
      </c>
      <c r="M22" s="10">
        <f t="shared" si="2"/>
        <v>3</v>
      </c>
      <c r="N22" s="10">
        <f t="shared" si="3"/>
        <v>5</v>
      </c>
      <c r="O22" s="11">
        <f t="shared" si="4"/>
        <v>40800</v>
      </c>
      <c r="P22" s="10"/>
      <c r="Q22" s="10"/>
      <c r="R22" s="10"/>
    </row>
    <row r="23" spans="1:18" ht="26.25" customHeight="1">
      <c r="A23" s="10">
        <f>IF(OR(ISBLANK(B23),ISBLANK(C23),ISBLANK(F23),ISBLANK(#REF!),ISBLANK(G23)),"",ROW()-14)</f>
        <v>9</v>
      </c>
      <c r="B23" s="1">
        <v>0</v>
      </c>
      <c r="C23" s="1">
        <v>0</v>
      </c>
      <c r="D23" s="1">
        <f t="shared" si="0"/>
        <v>0</v>
      </c>
      <c r="E23" s="18">
        <f t="shared" si="1"/>
        <v>0</v>
      </c>
      <c r="F23" s="1" t="s">
        <v>2</v>
      </c>
      <c r="G23" s="3">
        <v>40794</v>
      </c>
      <c r="H23" s="1">
        <v>1</v>
      </c>
      <c r="I23" s="9">
        <f>IF(ISBLANK(F23),"",IF(ISERROR(VLOOKUP(F23,'单价基础资料'!$B$4:$D$11,2,0)),"型号输入有错误",VLOOKUP(F23,'单价基础资料'!$B$4:$D$11,2,0)))</f>
        <v>0.64</v>
      </c>
      <c r="J23" s="9">
        <f>IF(ISBLANK(F23),"",IF(ISERROR(VLOOKUP(F23,'单价基础资料'!$B$4:$D$11,3,0)),"型号输入有错误",VLOOKUP(F23,'单价基础资料'!$B$4:$D$11,3,0)))</f>
        <v>8</v>
      </c>
      <c r="K23" s="9" t="str">
        <f t="shared" si="5"/>
        <v>板太小了</v>
      </c>
      <c r="L23" s="9">
        <f>IF(ISBLANK(F23),"",IF(ISERROR(VLOOKUP(F23,'单价基础资料'!$B$4:$E$11,4,0)),"型号输入有错误",VLOOKUP(F23,'单价基础资料'!$B$4:$E$11,4,0)))</f>
        <v>5</v>
      </c>
      <c r="M23" s="1">
        <f t="shared" si="2"/>
        <v>3</v>
      </c>
      <c r="N23" s="1">
        <f t="shared" si="3"/>
        <v>5</v>
      </c>
      <c r="O23" s="11">
        <f t="shared" si="4"/>
        <v>40800</v>
      </c>
      <c r="P23" s="10"/>
      <c r="Q23" s="10"/>
      <c r="R23" s="10"/>
    </row>
    <row r="24" spans="1:18" ht="25.5" customHeight="1">
      <c r="A24" s="10">
        <f>IF(OR(ISBLANK(B24),ISBLANK(C24),ISBLANK(F24),ISBLANK(#REF!),ISBLANK(G24)),"",ROW()-14)</f>
        <v>10</v>
      </c>
      <c r="B24" s="1">
        <v>0</v>
      </c>
      <c r="C24" s="1">
        <v>0</v>
      </c>
      <c r="D24" s="1">
        <f t="shared" si="0"/>
        <v>0</v>
      </c>
      <c r="E24" s="18">
        <f t="shared" si="1"/>
        <v>0</v>
      </c>
      <c r="F24" s="1" t="s">
        <v>2</v>
      </c>
      <c r="G24" s="3">
        <v>40794</v>
      </c>
      <c r="H24" s="1">
        <v>1</v>
      </c>
      <c r="I24" s="9">
        <f>IF(ISBLANK(F24),"",IF(ISERROR(VLOOKUP(F24,'单价基础资料'!$B$4:$D$11,2,0)),"型号输入有错误",VLOOKUP(F24,'单价基础资料'!$B$4:$D$11,2,0)))</f>
        <v>0.64</v>
      </c>
      <c r="J24" s="9">
        <f>IF(ISBLANK(F24),"",IF(ISERROR(VLOOKUP(F24,'单价基础资料'!$B$4:$D$11,3,0)),"型号输入有错误",VLOOKUP(F24,'单价基础资料'!$B$4:$D$11,3,0)))</f>
        <v>8</v>
      </c>
      <c r="K24" s="9" t="str">
        <f t="shared" si="5"/>
        <v>板太小了</v>
      </c>
      <c r="L24" s="9">
        <f>IF(ISBLANK(F24),"",IF(ISERROR(VLOOKUP(F24,'单价基础资料'!$B$4:$E$11,4,0)),"型号输入有错误",VLOOKUP(F24,'单价基础资料'!$B$4:$E$11,4,0)))</f>
        <v>5</v>
      </c>
      <c r="M24" s="1">
        <f t="shared" si="2"/>
        <v>3</v>
      </c>
      <c r="N24" s="1">
        <f t="shared" si="3"/>
        <v>5</v>
      </c>
      <c r="O24" s="11">
        <f t="shared" si="4"/>
        <v>40800</v>
      </c>
      <c r="P24" s="10"/>
      <c r="Q24" s="10"/>
      <c r="R24" s="10"/>
    </row>
    <row r="25" ht="13.5">
      <c r="I25" s="1"/>
    </row>
    <row r="26" spans="3:11" ht="19.5" customHeight="1">
      <c r="C26" s="15" t="s">
        <v>31</v>
      </c>
      <c r="D26" s="1">
        <f>SUM(D15:D24)</f>
        <v>1</v>
      </c>
      <c r="E26" s="18">
        <f>ROUND(D26,0)</f>
        <v>1</v>
      </c>
      <c r="I26" s="1"/>
      <c r="J26" s="19" t="s">
        <v>33</v>
      </c>
      <c r="K26" s="20">
        <f>SUM(K15:K24)</f>
        <v>8.64</v>
      </c>
    </row>
    <row r="29" spans="3:19" ht="13.5">
      <c r="C29" s="17"/>
      <c r="D29" s="16" t="str">
        <f>HYPERLINK("http://www.mailshop.cn/product_list.jsp?kind=normal&amp;class_id=3604&amp;super_id=1672&amp;view_kind=picture_list","去付款咯!")</f>
        <v>去付款咯!</v>
      </c>
      <c r="E29" s="17"/>
      <c r="F29" s="16" t="s">
        <v>32</v>
      </c>
      <c r="G29" s="17"/>
      <c r="H29" s="23" t="s">
        <v>35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2:19" ht="13.5">
      <c r="B30" s="17"/>
      <c r="C30" s="17"/>
      <c r="D30" s="17"/>
      <c r="E30" s="17"/>
      <c r="F30" s="17"/>
      <c r="G30" s="17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 ht="13.5" customHeight="1">
      <c r="A31" s="24" t="s">
        <v>34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</row>
    <row r="32" spans="1:19" ht="13.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</row>
    <row r="33" spans="1:19" ht="13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</row>
  </sheetData>
  <sheetProtection/>
  <mergeCells count="4">
    <mergeCell ref="A11:R11"/>
    <mergeCell ref="A12:P12"/>
    <mergeCell ref="H29:S30"/>
    <mergeCell ref="A31:S33"/>
  </mergeCells>
  <dataValidations count="1">
    <dataValidation type="list" allowBlank="1" showInputMessage="1" showErrorMessage="1" promptTitle="选择材料" prompt="选择您需要的材料" errorTitle="抱歉" error="我们现在还没有您要的型号" sqref="F15:F24">
      <formula1>$B$1:$B$8</formula1>
    </dataValidation>
  </dataValidations>
  <hyperlinks>
    <hyperlink ref="A11:R11" r:id="rId1" display="中国电子开发网(www.ourdev.cn)"/>
    <hyperlink ref="R12" r:id="rId2" display="去论坛"/>
    <hyperlink ref="F29" r:id="rId3" display="再去看看规范!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9.00390625" style="1" customWidth="1"/>
    <col min="2" max="2" width="11.140625" style="1" customWidth="1"/>
    <col min="3" max="16384" width="9.00390625" style="1" customWidth="1"/>
  </cols>
  <sheetData>
    <row r="1" spans="2:15" ht="18.75">
      <c r="B1" s="21" t="s">
        <v>13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2:15" ht="18.75">
      <c r="B2" s="22" t="s">
        <v>16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7" t="s">
        <v>14</v>
      </c>
    </row>
    <row r="3" spans="1:5" ht="27.75">
      <c r="A3" s="1" t="s">
        <v>22</v>
      </c>
      <c r="B3" s="1" t="s">
        <v>0</v>
      </c>
      <c r="C3" s="5" t="s">
        <v>8</v>
      </c>
      <c r="D3" s="5" t="s">
        <v>3</v>
      </c>
      <c r="E3" s="1" t="s">
        <v>23</v>
      </c>
    </row>
    <row r="4" spans="1:5" ht="13.5">
      <c r="A4" s="1">
        <v>1</v>
      </c>
      <c r="B4" s="1" t="s">
        <v>21</v>
      </c>
      <c r="C4" s="1">
        <v>88</v>
      </c>
      <c r="D4" s="1">
        <v>88</v>
      </c>
      <c r="E4" s="1">
        <v>30</v>
      </c>
    </row>
    <row r="5" spans="1:5" ht="13.5">
      <c r="A5" s="1">
        <v>2</v>
      </c>
      <c r="B5" s="1" t="s">
        <v>20</v>
      </c>
      <c r="C5" s="1">
        <v>88</v>
      </c>
      <c r="D5" s="1">
        <v>88</v>
      </c>
      <c r="E5" s="1">
        <v>30</v>
      </c>
    </row>
    <row r="6" spans="1:5" ht="13.5">
      <c r="A6" s="1">
        <v>3</v>
      </c>
      <c r="B6" s="1" t="s">
        <v>19</v>
      </c>
      <c r="C6" s="1">
        <v>0.64</v>
      </c>
      <c r="D6" s="1">
        <v>8</v>
      </c>
      <c r="E6" s="1">
        <v>5</v>
      </c>
    </row>
    <row r="7" spans="1:5" ht="13.5">
      <c r="A7" s="1">
        <v>4</v>
      </c>
      <c r="B7" s="1" t="s">
        <v>18</v>
      </c>
      <c r="C7" s="1">
        <v>88</v>
      </c>
      <c r="D7" s="1">
        <v>88</v>
      </c>
      <c r="E7" s="1">
        <v>30</v>
      </c>
    </row>
    <row r="8" ht="13.5">
      <c r="A8" s="1">
        <v>5</v>
      </c>
    </row>
    <row r="9" ht="13.5">
      <c r="A9" s="1">
        <v>6</v>
      </c>
    </row>
    <row r="10" ht="13.5">
      <c r="A10" s="1">
        <v>7</v>
      </c>
    </row>
    <row r="11" ht="13.5">
      <c r="A11" s="1">
        <v>8</v>
      </c>
    </row>
  </sheetData>
  <sheetProtection/>
  <mergeCells count="2">
    <mergeCell ref="B1:O1"/>
    <mergeCell ref="B2:N2"/>
  </mergeCells>
  <hyperlinks>
    <hyperlink ref="B1:O1" r:id="rId1" display="中国电子开发网(www.ourdev.cn)"/>
    <hyperlink ref="O2" r:id="rId2" display="去论坛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2011-12-31T07:07:06Z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